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24" tabRatio="808"/>
  </bookViews>
  <sheets>
    <sheet name="土方清单2024.8.15" sheetId="9" r:id="rId1"/>
    <sheet name="厂区土方汇总表" sheetId="10" r:id="rId2"/>
    <sheet name="临时道路区域土方挖（填）方情况" sheetId="11" r:id="rId3"/>
    <sheet name="各楼栋土方挖（填）情况" sheetId="12" r:id="rId4"/>
    <sheet name="管廊区域淤泥质土分布情况表" sheetId="13" r:id="rId5"/>
    <sheet name="管廊" sheetId="14" r:id="rId6"/>
  </sheets>
  <definedNames>
    <definedName name="_xlnm.Print_Area" localSheetId="0">土方清单2024.8.15!$A$1:$H$14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<sst xmlns="http://schemas.openxmlformats.org/spreadsheetml/2006/main" count="138" uniqueCount="118">
  <si>
    <t>土方工程清单（20240816版）</t>
  </si>
  <si>
    <t>工程名称：南京现代表面处理科技产业中心项目一期A地块建设项目</t>
  </si>
  <si>
    <t>序号</t>
  </si>
  <si>
    <t>项目名称</t>
  </si>
  <si>
    <t>项目特征描述</t>
  </si>
  <si>
    <t>计量
单位</t>
  </si>
  <si>
    <t>暂定
工程量</t>
  </si>
  <si>
    <t>含税
综合单价</t>
  </si>
  <si>
    <t>含税
综合合价</t>
  </si>
  <si>
    <t>备注</t>
  </si>
  <si>
    <t>土方挖运
（土方外运）</t>
  </si>
  <si>
    <t>1.土质为除淤泥外的一般土方，机械开挖为主，人工配合为辅；清底表土完成面标高为垫层底标高（满足设计标高要求），完成面需平整并达到满足下道工序可直接施工的要求；
2.运距与土方弃置费由乙方自行考虑，并均包含在综合单价内。</t>
  </si>
  <si>
    <t>m3</t>
  </si>
  <si>
    <t>淤泥挖运
（淤泥外运）</t>
  </si>
  <si>
    <t>1.土质为淤泥土，机械开挖为主，人工配合为辅；清底表土完成面标高为垫层底标高（满足设计标高要求），完成面需平整并达到满足下道工序可直接施工的要求；
2.运距与土方弃置费由乙方自行考虑，并均包含在综合单价内。</t>
  </si>
  <si>
    <t>工程量暂根据地勘报告计算</t>
  </si>
  <si>
    <t>挖一般土方
（坑旁就近堆放、无需转运）</t>
  </si>
  <si>
    <t>1.挖土（一般土方），坑旁就近堆放，备于回填；
2.（须满足回填土质要求），机械开挖为主，人工配合为辅；清底表土完成面标高为垫层底标高（满足设计标高要求），完成面需平整并达到满足下道工序可直接施工的要求。</t>
  </si>
  <si>
    <t>土方挖运
（土方运至园区内堆放）</t>
  </si>
  <si>
    <t>1.土质为一般土方（须满足回填土质要求），机械开挖为主，人工配合为辅；清底表土完成面标高为垫层底标高（满足设计标高要求），完成面需平整并达到满足下道工序可直接施工的要求；
2.场内土方挖运至园区内堆放，包推平，以满足园区管理规定为准，并确保土体堆放安全状态。</t>
  </si>
  <si>
    <t>土方回填、夯实（利用坑旁堆土回填，无需转运）</t>
  </si>
  <si>
    <t>1.分层回填、夯实，夯实系数不低于0.94</t>
  </si>
  <si>
    <t>土方回填、夯实（由园区内堆土位置运至本工程指定地点用于回填）</t>
  </si>
  <si>
    <t>建筑垃圾外运</t>
  </si>
  <si>
    <t>1.建筑垃圾弃运的位置由乙方自行考虑。</t>
  </si>
  <si>
    <t>/</t>
  </si>
  <si>
    <t>含税合计</t>
  </si>
  <si>
    <t>元</t>
  </si>
  <si>
    <r>
      <t>备注：
1、以上价格为含税价，开具票面</t>
    </r>
    <r>
      <rPr>
        <u/>
        <sz val="12"/>
        <rFont val="宋体"/>
        <charset val="134"/>
      </rPr>
      <t xml:space="preserve">   </t>
    </r>
    <r>
      <rPr>
        <sz val="12"/>
        <rFont val="宋体"/>
        <charset val="134"/>
      </rPr>
      <t xml:space="preserve"> %增值税专用发票（税率按国家政策执行，造价随之调整）。
2、本清单工程量暂定，结算时工程量按建设单位、监理、甲方、乙方四方共同签字确认的土方施工方案进行计算。                                                                                                                                                                                                               3、本工程总建筑面积约155887.4m2，包含1~12号厂房、暂存仓库、雨水收集池、门卫室、地下废水管廊及本地块其他所有附属工程。本次清单工程量暂按1#楼厂房图纸（第一版 2024.8.10）土方工程量及建筑面积（13131.47m3）来估算厂区工程量，标高按照厂区方格网标高来测算，管廊及雨水收集池无图纸只能暂估，管廊深度按3.8m，雨水收集池深度按5m。                                                                                                           4、淤泥工程量根据现场地质报告管廊区部分填塘暂估工程量。
5、本清单未注明的承包内容，详见合同相应条款。</t>
    </r>
  </si>
  <si>
    <t>报价单位：</t>
  </si>
  <si>
    <t>报价日期：2024年  月  日</t>
  </si>
  <si>
    <t>临时道路</t>
  </si>
  <si>
    <t>楼栋单体</t>
  </si>
  <si>
    <t>淤泥</t>
  </si>
  <si>
    <t>管廊</t>
  </si>
  <si>
    <t>小计</t>
  </si>
  <si>
    <t>挖方量</t>
  </si>
  <si>
    <t>填方量</t>
  </si>
  <si>
    <t>外运量</t>
  </si>
  <si>
    <t>场内临时道路区域土方挖（填）方情况表</t>
  </si>
  <si>
    <t>部位</t>
  </si>
  <si>
    <t>长度
（m）</t>
  </si>
  <si>
    <t>宽度
（m）</t>
  </si>
  <si>
    <t>道路结构总厚度
（m）</t>
  </si>
  <si>
    <t>道路平均设计标高
（m）</t>
  </si>
  <si>
    <t>现场地面平均标高
（m）</t>
  </si>
  <si>
    <t>土方挖（填）工程量
（m³）</t>
  </si>
  <si>
    <t>主路（1）</t>
  </si>
  <si>
    <t>主路（2）</t>
  </si>
  <si>
    <t>主路（3）</t>
  </si>
  <si>
    <t>主路（4）
（北门洗车池区域）</t>
  </si>
  <si>
    <t>不含洗车池</t>
  </si>
  <si>
    <t>主路（5）
（北门洗车池区域）</t>
  </si>
  <si>
    <t>主路（6）</t>
  </si>
  <si>
    <t>主路（7）
地磅加宽区域</t>
  </si>
  <si>
    <t>不含地磅</t>
  </si>
  <si>
    <t>支路（8）</t>
  </si>
  <si>
    <t>支路（9）</t>
  </si>
  <si>
    <t>支路（10）</t>
  </si>
  <si>
    <t>支路（11）</t>
  </si>
  <si>
    <t>支路（12）</t>
  </si>
  <si>
    <t>支路（13）</t>
  </si>
  <si>
    <t>主路喇叭口（2个）</t>
  </si>
  <si>
    <t>支路喇叭口（2个）</t>
  </si>
  <si>
    <t>支路喇叭口（1个）</t>
  </si>
  <si>
    <t>支路喇叭口（0.5个）</t>
  </si>
  <si>
    <t>挖方合计</t>
  </si>
  <si>
    <t>填方合计</t>
  </si>
  <si>
    <t>各楼栋土方挖（填）方情况</t>
  </si>
  <si>
    <t>楼栋</t>
  </si>
  <si>
    <t>正负零（m)</t>
  </si>
  <si>
    <t>场地平均标高(m)</t>
  </si>
  <si>
    <t>面积（㎡）</t>
  </si>
  <si>
    <t>填至-0.34</t>
  </si>
  <si>
    <t>基础开挖量（m3）</t>
  </si>
  <si>
    <t>地下基础（m3）</t>
  </si>
  <si>
    <t>总回填量（m3）</t>
  </si>
  <si>
    <t>回填外购土（m3）</t>
  </si>
  <si>
    <t>建筑面积</t>
  </si>
  <si>
    <t>1#</t>
  </si>
  <si>
    <t>2#</t>
  </si>
  <si>
    <t>3#</t>
  </si>
  <si>
    <t>4#</t>
  </si>
  <si>
    <t>5#</t>
  </si>
  <si>
    <t>8#</t>
  </si>
  <si>
    <t>管廊区域淤泥质土分布情况表</t>
  </si>
  <si>
    <t>区域</t>
  </si>
  <si>
    <t>塘号</t>
  </si>
  <si>
    <t>区块</t>
  </si>
  <si>
    <t>淤泥平均厚度（m）</t>
  </si>
  <si>
    <t>方量（m³）</t>
  </si>
  <si>
    <t>淤泥顶标高（㎡）</t>
  </si>
  <si>
    <t>淤泥底标高（㎡）</t>
  </si>
  <si>
    <t>构筑物底标高（㎡）</t>
  </si>
  <si>
    <t>开挖面以上（m³）</t>
  </si>
  <si>
    <t>开挖面以下（m³）</t>
  </si>
  <si>
    <t>管廊区域</t>
  </si>
  <si>
    <t>填塘2</t>
  </si>
  <si>
    <t>图纸不全，暂无法计算</t>
  </si>
  <si>
    <t>不含淤泥质填土</t>
  </si>
  <si>
    <t>填塘3</t>
  </si>
  <si>
    <t>填塘4</t>
  </si>
  <si>
    <t>填塘5</t>
  </si>
  <si>
    <t>填塘7</t>
  </si>
  <si>
    <t>填塘10</t>
  </si>
  <si>
    <t>初期雨水收集池</t>
  </si>
  <si>
    <t>无</t>
  </si>
  <si>
    <t>暂按0.8m计算</t>
  </si>
  <si>
    <t>不含淤泥质土</t>
  </si>
  <si>
    <t>生产/消防/生活水池</t>
  </si>
  <si>
    <t>填塘9</t>
  </si>
  <si>
    <t>暂按1.65m计算</t>
  </si>
  <si>
    <t>合计</t>
  </si>
  <si>
    <t>说明：
1、根据地勘报告显示，本工程管廊及水池区域除填塘淤泥质土以外，管廊开挖区域局部含有②3淤泥质粉质黏土层位于J37、J59勘探孔区域，层高分别为0.17m、-2.27m，层厚分别为3.2m、6.0m。因为该区域管廊底标高为2.204m～3.5m（暂按已有桩基图纸所注明的标高计算），故②3淤泥质粉质黏土层不影响管廊的开挖和施工；所以本表仅计算管廊及水池开挖区域填塘内的淤泥质土。
2、管廊及水池区域内填塘分布有填塘2、填塘3、填塘4、填塘5、填塘7、填塘9、填塘10，其中填塘2、填塘4、填塘5未分布淤泥填土，所以不做考虑。其余分布面积、淤泥厚度详见上表。
3、因图纸不全，大部分区域管廊标高无法确定，所以暂无法区分开挖面以上和开挖面以下的淤泥方量；水池区域淤泥质填土均处于开挖面以上（见上表），同时，地勘报告注明，填塘边界线是由历史地形图查得，所以上表所示工程量存在一定的误差，请知悉。</t>
  </si>
  <si>
    <t>无图纸预估</t>
  </si>
  <si>
    <t>面积</t>
  </si>
  <si>
    <t>土方</t>
  </si>
  <si>
    <t>雨水收集池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</si>
</sst>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</numFmts>
  <fonts count="32">
    <font>
      <sz val="9"/>
      <color theme="1"/>
      <name val="??"/>
      <charset val="134"/>
      <scheme val="minor"/>
    </font>
    <font>
      <sz val="11"/>
      <color theme="1"/>
      <name val="??"/>
      <charset val="134"/>
      <scheme val="minor"/>
    </font>
    <font>
      <b/>
      <sz val="16"/>
      <color theme="1"/>
      <name val="??"/>
      <charset val="134"/>
      <scheme val="minor"/>
    </font>
    <font>
      <b/>
      <sz val="11"/>
      <color theme="1"/>
      <name val="??"/>
      <charset val="134"/>
      <scheme val="minor"/>
    </font>
    <font>
      <sz val="10"/>
      <color theme="1"/>
      <name val="??"/>
      <charset val="134"/>
      <scheme val="minor"/>
    </font>
    <font>
      <b/>
      <sz val="10"/>
      <color theme="1"/>
      <name val="??"/>
      <charset val="134"/>
      <scheme val="minor"/>
    </font>
    <font>
      <sz val="9"/>
      <name val="宋体"/>
      <charset val="134"/>
    </font>
    <font>
      <b/>
      <sz val="12"/>
      <name val="宋体"/>
      <charset val="134"/>
    </font>
    <font>
      <b/>
      <sz val="9"/>
      <name val="宋体"/>
      <charset val="134"/>
    </font>
    <font>
      <b/>
      <sz val="18"/>
      <name val="宋体"/>
      <charset val="134"/>
    </font>
    <font>
      <sz val="12"/>
      <name val="宋体"/>
      <charset val="134"/>
    </font>
    <font>
      <b/>
      <sz val="11"/>
      <name val="宋体"/>
      <charset val="134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u/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3" borderId="1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6" borderId="15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10" fillId="0" borderId="0"/>
    <xf numFmtId="0" fontId="0" fillId="0" borderId="0"/>
  </cellStyleXfs>
  <cellXfs count="84">
    <xf numFmtId="0" fontId="0" fillId="0" borderId="0" xfId="5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6" fontId="1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176" fontId="1" fillId="0" borderId="2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/>
    </xf>
    <xf numFmtId="176" fontId="1" fillId="0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 wrapText="1"/>
    </xf>
    <xf numFmtId="176" fontId="1" fillId="2" borderId="1" xfId="0" applyNumberFormat="1" applyFont="1" applyFill="1" applyBorder="1" applyAlignment="1">
      <alignment horizontal="center" vertical="center"/>
    </xf>
    <xf numFmtId="176" fontId="1" fillId="0" borderId="7" xfId="0" applyNumberFormat="1" applyFont="1" applyFill="1" applyBorder="1" applyAlignment="1">
      <alignment vertical="center"/>
    </xf>
    <xf numFmtId="176" fontId="1" fillId="2" borderId="4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8" xfId="0" applyNumberFormat="1" applyFont="1" applyFill="1" applyBorder="1" applyAlignment="1">
      <alignment horizontal="center" vertical="center"/>
    </xf>
    <xf numFmtId="176" fontId="5" fillId="0" borderId="9" xfId="0" applyNumberFormat="1" applyFont="1" applyFill="1" applyBorder="1" applyAlignment="1">
      <alignment horizontal="center" vertical="center"/>
    </xf>
    <xf numFmtId="176" fontId="5" fillId="0" borderId="7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0" xfId="50" applyFont="1" applyFill="1"/>
    <xf numFmtId="0" fontId="7" fillId="0" borderId="0" xfId="50" applyFont="1" applyFill="1" applyAlignment="1">
      <alignment vertical="center"/>
    </xf>
    <xf numFmtId="0" fontId="8" fillId="0" borderId="0" xfId="50" applyFont="1" applyFill="1"/>
    <xf numFmtId="176" fontId="6" fillId="0" borderId="0" xfId="50" applyNumberFormat="1" applyFont="1" applyFill="1" applyAlignment="1">
      <alignment horizontal="center"/>
    </xf>
    <xf numFmtId="176" fontId="6" fillId="0" borderId="0" xfId="50" applyNumberFormat="1" applyFont="1" applyFill="1" applyAlignment="1">
      <alignment horizontal="center" vertical="center"/>
    </xf>
    <xf numFmtId="0" fontId="6" fillId="0" borderId="0" xfId="50" applyFont="1" applyFill="1" applyAlignment="1">
      <alignment horizontal="center" vertical="center"/>
    </xf>
    <xf numFmtId="0" fontId="9" fillId="0" borderId="0" xfId="50" applyFont="1" applyFill="1" applyAlignment="1">
      <alignment horizontal="center" vertical="center" wrapText="1"/>
    </xf>
    <xf numFmtId="0" fontId="7" fillId="0" borderId="0" xfId="50" applyFont="1" applyFill="1" applyAlignment="1">
      <alignment horizontal="left" vertical="center" wrapText="1"/>
    </xf>
    <xf numFmtId="0" fontId="7" fillId="0" borderId="1" xfId="50" applyFont="1" applyFill="1" applyBorder="1" applyAlignment="1">
      <alignment horizontal="center" vertical="center" wrapText="1"/>
    </xf>
    <xf numFmtId="176" fontId="7" fillId="0" borderId="1" xfId="50" applyNumberFormat="1" applyFont="1" applyFill="1" applyBorder="1" applyAlignment="1">
      <alignment horizontal="center" vertical="center" wrapText="1"/>
    </xf>
    <xf numFmtId="176" fontId="7" fillId="0" borderId="2" xfId="50" applyNumberFormat="1" applyFont="1" applyFill="1" applyBorder="1" applyAlignment="1">
      <alignment horizontal="center" vertical="center" wrapText="1"/>
    </xf>
    <xf numFmtId="176" fontId="7" fillId="0" borderId="1" xfId="50" applyNumberFormat="1" applyFont="1" applyFill="1" applyBorder="1" applyAlignment="1">
      <alignment horizontal="center" vertical="center"/>
    </xf>
    <xf numFmtId="176" fontId="7" fillId="0" borderId="4" xfId="50" applyNumberFormat="1" applyFont="1" applyFill="1" applyBorder="1" applyAlignment="1">
      <alignment horizontal="center" vertical="center" wrapText="1"/>
    </xf>
    <xf numFmtId="0" fontId="10" fillId="0" borderId="1" xfId="50" applyFont="1" applyFill="1" applyBorder="1" applyAlignment="1">
      <alignment horizontal="center" vertical="center" wrapText="1"/>
    </xf>
    <xf numFmtId="0" fontId="10" fillId="0" borderId="1" xfId="5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10" fillId="0" borderId="1" xfId="5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7" fillId="0" borderId="1" xfId="50" applyNumberFormat="1" applyFont="1" applyFill="1" applyBorder="1" applyAlignment="1">
      <alignment horizontal="center"/>
    </xf>
    <xf numFmtId="0" fontId="10" fillId="0" borderId="0" xfId="50" applyFont="1" applyFill="1" applyBorder="1" applyAlignment="1">
      <alignment vertical="top" wrapText="1"/>
    </xf>
    <xf numFmtId="0" fontId="6" fillId="0" borderId="0" xfId="50" applyFont="1" applyFill="1" applyBorder="1"/>
    <xf numFmtId="0" fontId="10" fillId="0" borderId="0" xfId="50" applyFont="1" applyFill="1" applyBorder="1" applyAlignment="1">
      <alignment vertical="center"/>
    </xf>
    <xf numFmtId="0" fontId="6" fillId="0" borderId="0" xfId="50" applyFont="1" applyFill="1" applyBorder="1" applyAlignment="1">
      <alignment vertical="center"/>
    </xf>
    <xf numFmtId="0" fontId="10" fillId="0" borderId="0" xfId="50" applyFont="1" applyFill="1" applyBorder="1" applyAlignment="1">
      <alignment vertical="center"/>
    </xf>
    <xf numFmtId="176" fontId="11" fillId="0" borderId="0" xfId="50" applyNumberFormat="1" applyFont="1" applyFill="1" applyBorder="1" applyAlignment="1">
      <alignment vertical="center"/>
    </xf>
    <xf numFmtId="176" fontId="6" fillId="0" borderId="0" xfId="50" applyNumberFormat="1" applyFont="1" applyFill="1" applyBorder="1" applyAlignment="1">
      <alignment vertical="center"/>
    </xf>
    <xf numFmtId="176" fontId="6" fillId="0" borderId="0" xfId="50" applyNumberFormat="1" applyFont="1" applyFill="1" applyBorder="1" applyAlignment="1"/>
    <xf numFmtId="176" fontId="11" fillId="0" borderId="0" xfId="50" applyNumberFormat="1" applyFont="1" applyFill="1" applyBorder="1" applyAlignment="1">
      <alignment horizontal="center" vertical="center"/>
    </xf>
    <xf numFmtId="176" fontId="6" fillId="0" borderId="0" xfId="50" applyNumberFormat="1" applyFont="1" applyFill="1" applyBorder="1" applyAlignment="1">
      <alignment horizontal="left"/>
    </xf>
    <xf numFmtId="0" fontId="7" fillId="0" borderId="0" xfId="50" applyFont="1" applyFill="1" applyAlignment="1">
      <alignment horizontal="center" vertical="center"/>
    </xf>
    <xf numFmtId="0" fontId="8" fillId="0" borderId="0" xfId="50" applyFont="1" applyFill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万科城A标门窗清单 2 2" xfId="49"/>
    <cellStyle name="Normal" xfId="50"/>
  </cellStyles>
  <tableStyles count="0" defaultTableStyle="TableStyleMedium2"/>
  <colors>
    <mruColors>
      <color rgb="00FFC000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topLeftCell="A10" workbookViewId="0">
      <selection activeCell="O13" sqref="O13"/>
    </sheetView>
  </sheetViews>
  <sheetFormatPr defaultColWidth="9" defaultRowHeight="10.8"/>
  <cols>
    <col min="1" max="1" width="6.57291666666667" style="51" customWidth="1"/>
    <col min="2" max="2" width="20" style="51" customWidth="1"/>
    <col min="3" max="3" width="38.625" style="51" customWidth="1"/>
    <col min="4" max="4" width="6.42708333333333" style="51" customWidth="1"/>
    <col min="5" max="5" width="13.5" style="54" customWidth="1"/>
    <col min="6" max="6" width="10.8541666666667" style="54" customWidth="1"/>
    <col min="7" max="7" width="13.5" style="55" customWidth="1"/>
    <col min="8" max="8" width="20.5" style="55" customWidth="1"/>
    <col min="9" max="9" width="9" style="56"/>
    <col min="10" max="16384" width="9" style="51"/>
  </cols>
  <sheetData>
    <row r="1" s="51" customFormat="1" ht="39.75" customHeight="1" spans="1:9">
      <c r="A1" s="57" t="s">
        <v>0</v>
      </c>
      <c r="B1" s="57"/>
      <c r="C1" s="57"/>
      <c r="D1" s="57"/>
      <c r="E1" s="57"/>
      <c r="F1" s="57"/>
      <c r="G1" s="57"/>
      <c r="H1" s="57"/>
      <c r="I1" s="56"/>
    </row>
    <row r="2" s="52" customFormat="1" ht="24" customHeight="1" spans="1:9">
      <c r="A2" s="58" t="s">
        <v>1</v>
      </c>
      <c r="B2" s="58"/>
      <c r="C2" s="58"/>
      <c r="D2" s="58"/>
      <c r="E2" s="58"/>
      <c r="F2" s="58"/>
      <c r="G2" s="58"/>
      <c r="H2" s="58"/>
      <c r="I2" s="82"/>
    </row>
    <row r="3" s="53" customFormat="1" ht="25" customHeight="1" spans="1:9">
      <c r="A3" s="59" t="s">
        <v>2</v>
      </c>
      <c r="B3" s="59" t="s">
        <v>3</v>
      </c>
      <c r="C3" s="59" t="s">
        <v>4</v>
      </c>
      <c r="D3" s="59" t="s">
        <v>5</v>
      </c>
      <c r="E3" s="60" t="s">
        <v>6</v>
      </c>
      <c r="F3" s="60" t="s">
        <v>7</v>
      </c>
      <c r="G3" s="60" t="s">
        <v>8</v>
      </c>
      <c r="H3" s="61" t="s">
        <v>9</v>
      </c>
      <c r="I3" s="83"/>
    </row>
    <row r="4" s="53" customFormat="1" ht="30" customHeight="1" spans="1:9">
      <c r="A4" s="59"/>
      <c r="B4" s="59"/>
      <c r="C4" s="59"/>
      <c r="D4" s="59"/>
      <c r="E4" s="60"/>
      <c r="F4" s="62"/>
      <c r="G4" s="60"/>
      <c r="H4" s="63"/>
      <c r="I4" s="83"/>
    </row>
    <row r="5" s="51" customFormat="1" ht="147" customHeight="1" spans="1:9">
      <c r="A5" s="64">
        <v>1</v>
      </c>
      <c r="B5" s="64" t="s">
        <v>10</v>
      </c>
      <c r="C5" s="65" t="s">
        <v>11</v>
      </c>
      <c r="D5" s="66" t="s">
        <v>12</v>
      </c>
      <c r="E5" s="67">
        <v>24373.260971886</v>
      </c>
      <c r="F5" s="67"/>
      <c r="G5" s="67"/>
      <c r="H5" s="67"/>
      <c r="I5" s="56"/>
    </row>
    <row r="6" s="51" customFormat="1" ht="124" customHeight="1" spans="1:9">
      <c r="A6" s="64">
        <v>2</v>
      </c>
      <c r="B6" s="64" t="s">
        <v>13</v>
      </c>
      <c r="C6" s="65" t="s">
        <v>14</v>
      </c>
      <c r="D6" s="66" t="s">
        <v>12</v>
      </c>
      <c r="E6" s="67">
        <v>453.0945</v>
      </c>
      <c r="F6" s="67"/>
      <c r="G6" s="67"/>
      <c r="H6" s="67" t="s">
        <v>15</v>
      </c>
      <c r="I6" s="56"/>
    </row>
    <row r="7" s="51" customFormat="1" ht="136" customHeight="1" spans="1:9">
      <c r="A7" s="64">
        <v>3</v>
      </c>
      <c r="B7" s="64" t="s">
        <v>16</v>
      </c>
      <c r="C7" s="65" t="s">
        <v>17</v>
      </c>
      <c r="D7" s="66" t="s">
        <v>12</v>
      </c>
      <c r="E7" s="68">
        <f>24601.79046*0.6</f>
        <v>14761.074276</v>
      </c>
      <c r="F7" s="67"/>
      <c r="G7" s="67"/>
      <c r="H7" s="67"/>
      <c r="I7" s="56"/>
    </row>
    <row r="8" s="51" customFormat="1" ht="152" customHeight="1" spans="1:9">
      <c r="A8" s="64">
        <v>4</v>
      </c>
      <c r="B8" s="64" t="s">
        <v>18</v>
      </c>
      <c r="C8" s="65" t="s">
        <v>19</v>
      </c>
      <c r="D8" s="66" t="s">
        <v>12</v>
      </c>
      <c r="E8" s="68">
        <f>24601.79046*0.4</f>
        <v>9840.716184</v>
      </c>
      <c r="F8" s="67"/>
      <c r="G8" s="67"/>
      <c r="H8" s="67"/>
      <c r="I8" s="56"/>
    </row>
    <row r="9" s="51" customFormat="1" ht="69" customHeight="1" spans="1:9">
      <c r="A9" s="64">
        <v>5</v>
      </c>
      <c r="B9" s="65" t="s">
        <v>20</v>
      </c>
      <c r="C9" s="65" t="s">
        <v>21</v>
      </c>
      <c r="D9" s="66" t="s">
        <v>12</v>
      </c>
      <c r="E9" s="68">
        <v>14761.074276</v>
      </c>
      <c r="F9" s="67"/>
      <c r="G9" s="67"/>
      <c r="H9" s="67"/>
      <c r="I9" s="56"/>
    </row>
    <row r="10" s="51" customFormat="1" ht="85" customHeight="1" spans="1:9">
      <c r="A10" s="64">
        <v>6</v>
      </c>
      <c r="B10" s="65" t="s">
        <v>22</v>
      </c>
      <c r="C10" s="65" t="s">
        <v>21</v>
      </c>
      <c r="D10" s="66" t="s">
        <v>12</v>
      </c>
      <c r="E10" s="68">
        <v>9840.716184</v>
      </c>
      <c r="F10" s="67"/>
      <c r="G10" s="67"/>
      <c r="H10" s="67"/>
      <c r="I10" s="56"/>
    </row>
    <row r="11" s="51" customFormat="1" ht="62" customHeight="1" spans="1:9">
      <c r="A11" s="64">
        <v>7</v>
      </c>
      <c r="B11" s="65" t="s">
        <v>23</v>
      </c>
      <c r="C11" s="65" t="s">
        <v>24</v>
      </c>
      <c r="D11" s="66" t="s">
        <v>12</v>
      </c>
      <c r="E11" s="67" t="s">
        <v>25</v>
      </c>
      <c r="F11" s="67"/>
      <c r="G11" s="67"/>
      <c r="H11" s="67"/>
      <c r="I11" s="56"/>
    </row>
    <row r="12" s="53" customFormat="1" ht="36" customHeight="1" spans="1:9">
      <c r="A12" s="64">
        <v>8</v>
      </c>
      <c r="B12" s="69" t="s">
        <v>26</v>
      </c>
      <c r="C12" s="69"/>
      <c r="D12" s="69" t="s">
        <v>27</v>
      </c>
      <c r="E12" s="70"/>
      <c r="F12" s="71"/>
      <c r="G12" s="62"/>
      <c r="H12" s="62"/>
      <c r="I12" s="83"/>
    </row>
    <row r="13" s="51" customFormat="1" ht="142" customHeight="1" spans="1:9">
      <c r="A13" s="72" t="s">
        <v>28</v>
      </c>
      <c r="B13" s="72"/>
      <c r="C13" s="72"/>
      <c r="D13" s="72"/>
      <c r="E13" s="72"/>
      <c r="F13" s="72"/>
      <c r="G13" s="72"/>
      <c r="H13" s="72"/>
      <c r="I13" s="56"/>
    </row>
    <row r="14" ht="26" customHeight="1" spans="1:8">
      <c r="A14" s="73"/>
      <c r="B14" s="74" t="s">
        <v>29</v>
      </c>
      <c r="C14" s="75"/>
      <c r="D14" s="76" t="s">
        <v>30</v>
      </c>
      <c r="E14" s="77"/>
      <c r="F14" s="78"/>
      <c r="G14" s="79"/>
      <c r="H14" s="79"/>
    </row>
    <row r="15" ht="26" customHeight="1" spans="1:8">
      <c r="A15" s="73"/>
      <c r="B15" s="73"/>
      <c r="C15" s="73"/>
      <c r="D15" s="73"/>
      <c r="E15" s="80"/>
      <c r="F15" s="81"/>
      <c r="G15" s="81"/>
      <c r="H15" s="81"/>
    </row>
    <row r="16" ht="26" customHeight="1" spans="1:8">
      <c r="A16" s="73"/>
      <c r="B16" s="73"/>
      <c r="C16" s="73"/>
      <c r="D16" s="73"/>
      <c r="E16" s="80"/>
      <c r="F16" s="81"/>
      <c r="G16" s="81"/>
      <c r="H16" s="81"/>
    </row>
    <row r="17" ht="26" customHeight="1" spans="1:8">
      <c r="A17" s="73"/>
      <c r="B17" s="73"/>
      <c r="C17" s="73"/>
      <c r="D17" s="73"/>
      <c r="E17" s="80"/>
      <c r="F17" s="81"/>
      <c r="G17" s="81"/>
      <c r="H17" s="81"/>
    </row>
  </sheetData>
  <mergeCells count="15">
    <mergeCell ref="A1:H1"/>
    <mergeCell ref="A2:H2"/>
    <mergeCell ref="B12:C12"/>
    <mergeCell ref="A13:H13"/>
    <mergeCell ref="F15:H15"/>
    <mergeCell ref="F16:H16"/>
    <mergeCell ref="F17:H17"/>
    <mergeCell ref="A3:A4"/>
    <mergeCell ref="B3:B4"/>
    <mergeCell ref="C3:C4"/>
    <mergeCell ref="D3:D4"/>
    <mergeCell ref="E3:E4"/>
    <mergeCell ref="F3:F4"/>
    <mergeCell ref="G3:G4"/>
    <mergeCell ref="H3:H4"/>
  </mergeCells>
  <printOptions horizontalCentered="1"/>
  <pageMargins left="0.751388888888889" right="0.751388888888889" top="1" bottom="1" header="0.5" footer="0.5"/>
  <pageSetup paperSize="9" scale="63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F5"/>
  <sheetViews>
    <sheetView workbookViewId="0">
      <selection activeCell="F4" sqref="F4"/>
    </sheetView>
  </sheetViews>
  <sheetFormatPr defaultColWidth="10.28125" defaultRowHeight="13.8" outlineLevelRow="4" outlineLevelCol="5"/>
  <cols>
    <col min="1" max="1" width="10.28125" style="1"/>
    <col min="2" max="2" width="11.8541666666667" style="1"/>
    <col min="3" max="3" width="15.71875" style="1"/>
    <col min="4" max="4" width="10.71875" style="1"/>
    <col min="5" max="5" width="13.4270833333333" style="1" customWidth="1"/>
    <col min="6" max="6" width="15.71875" style="1"/>
    <col min="7" max="7" width="14.5729166666667" style="1"/>
    <col min="8" max="16384" width="10.28125" style="1"/>
  </cols>
  <sheetData>
    <row r="2" ht="23" customHeight="1" spans="2:6">
      <c r="B2" s="2" t="s">
        <v>31</v>
      </c>
      <c r="C2" s="2" t="s">
        <v>32</v>
      </c>
      <c r="D2" s="2" t="s">
        <v>33</v>
      </c>
      <c r="E2" s="2" t="s">
        <v>34</v>
      </c>
      <c r="F2" s="2" t="s">
        <v>35</v>
      </c>
    </row>
    <row r="3" ht="30" customHeight="1" spans="1:6">
      <c r="A3" s="13" t="s">
        <v>36</v>
      </c>
      <c r="B3" s="13">
        <v>2676.47691666667</v>
      </c>
      <c r="C3" s="13">
        <f>11244.5450074973*2</f>
        <v>22489.0900149946</v>
      </c>
      <c r="D3" s="13">
        <v>453.0945</v>
      </c>
      <c r="E3" s="13">
        <v>23356.39</v>
      </c>
      <c r="F3" s="13">
        <f>SUM(B3:E3)</f>
        <v>48975.0514316613</v>
      </c>
    </row>
    <row r="4" ht="30" customHeight="1" spans="1:6">
      <c r="A4" s="13" t="s">
        <v>37</v>
      </c>
      <c r="B4" s="13">
        <v>-907.862417142857</v>
      </c>
      <c r="C4" s="13">
        <f>-11716.7467713162*2</f>
        <v>-23433.4935426324</v>
      </c>
      <c r="D4" s="13">
        <f>-D3+192.66</f>
        <v>-260.4345</v>
      </c>
      <c r="E4" s="13"/>
      <c r="F4" s="13">
        <f>SUM(B4:E4)</f>
        <v>-24601.7904597753</v>
      </c>
    </row>
    <row r="5" ht="30" customHeight="1" spans="1:6">
      <c r="A5" s="13" t="s">
        <v>38</v>
      </c>
      <c r="B5" s="13">
        <f>SUM(B3:B4)</f>
        <v>1768.61449952381</v>
      </c>
      <c r="C5" s="13">
        <f>SUM(C3:C4)</f>
        <v>-944.403527637802</v>
      </c>
      <c r="D5" s="13">
        <f>SUM(D3:D4)</f>
        <v>192.66</v>
      </c>
      <c r="E5" s="13">
        <f>SUM(E3:E4)</f>
        <v>23356.39</v>
      </c>
      <c r="F5" s="13">
        <f>SUM(B5:E5)</f>
        <v>24373.260971886</v>
      </c>
    </row>
  </sheetData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workbookViewId="0">
      <selection activeCell="H21" sqref="H21:H22"/>
    </sheetView>
  </sheetViews>
  <sheetFormatPr defaultColWidth="10.28125" defaultRowHeight="13.8"/>
  <cols>
    <col min="1" max="1" width="8.0625" style="1" customWidth="1"/>
    <col min="2" max="2" width="20.25" style="2" customWidth="1"/>
    <col min="3" max="3" width="11.4166666666667" style="5" customWidth="1"/>
    <col min="4" max="4" width="10.4270833333333" style="5" customWidth="1"/>
    <col min="5" max="5" width="24.0833333333333" style="1" customWidth="1"/>
    <col min="6" max="6" width="19.9895833333333" style="5" customWidth="1"/>
    <col min="7" max="7" width="21.4895833333333" style="5" customWidth="1"/>
    <col min="8" max="8" width="23.4791666666667" style="5" customWidth="1"/>
    <col min="9" max="9" width="13.5729166666667" style="1" customWidth="1"/>
    <col min="10" max="10" width="10.71875" style="1"/>
    <col min="11" max="11" width="11.8541666666667" style="1"/>
    <col min="12" max="16384" width="10.28125" style="1"/>
  </cols>
  <sheetData>
    <row r="1" ht="27" customHeight="1" spans="1:9">
      <c r="A1" s="37" t="s">
        <v>39</v>
      </c>
      <c r="B1" s="37"/>
      <c r="C1" s="37"/>
      <c r="D1" s="37"/>
      <c r="E1" s="37"/>
      <c r="F1" s="37"/>
      <c r="G1" s="37"/>
      <c r="H1" s="37"/>
      <c r="I1" s="37"/>
    </row>
    <row r="2" ht="35" customHeight="1" spans="1:9">
      <c r="A2" s="8" t="s">
        <v>2</v>
      </c>
      <c r="B2" s="8" t="s">
        <v>40</v>
      </c>
      <c r="C2" s="11" t="s">
        <v>41</v>
      </c>
      <c r="D2" s="11" t="s">
        <v>42</v>
      </c>
      <c r="E2" s="9" t="s">
        <v>43</v>
      </c>
      <c r="F2" s="11" t="s">
        <v>44</v>
      </c>
      <c r="G2" s="11" t="s">
        <v>45</v>
      </c>
      <c r="H2" s="11" t="s">
        <v>46</v>
      </c>
      <c r="I2" s="8" t="s">
        <v>9</v>
      </c>
    </row>
    <row r="3" ht="18" customHeight="1" spans="1:9">
      <c r="A3" s="38">
        <v>1</v>
      </c>
      <c r="B3" s="38" t="s">
        <v>47</v>
      </c>
      <c r="C3" s="39">
        <v>38</v>
      </c>
      <c r="D3" s="39">
        <v>4</v>
      </c>
      <c r="E3" s="38">
        <v>0.67</v>
      </c>
      <c r="F3" s="39">
        <f>(6.6+6.6)/2</f>
        <v>6.6</v>
      </c>
      <c r="G3" s="39">
        <f>(6.89+6.96+7.17)/3</f>
        <v>7.00666666666667</v>
      </c>
      <c r="H3" s="39">
        <f t="shared" ref="H3:H8" si="0">(G3-F3+E3)*D3*C3</f>
        <v>163.653333333333</v>
      </c>
      <c r="I3" s="38"/>
    </row>
    <row r="4" ht="18" customHeight="1" spans="1:9">
      <c r="A4" s="38">
        <v>2</v>
      </c>
      <c r="B4" s="38" t="s">
        <v>48</v>
      </c>
      <c r="C4" s="39">
        <v>140.5</v>
      </c>
      <c r="D4" s="39">
        <v>4</v>
      </c>
      <c r="E4" s="38">
        <v>0.67</v>
      </c>
      <c r="F4" s="39">
        <f>(6.6+6.65+6.75+6.85)/4</f>
        <v>6.7125</v>
      </c>
      <c r="G4" s="39">
        <f>(7.25+7.18+7.04+6.97+6.69+6.6+6.61+6.48+6.15+5.95)/10</f>
        <v>6.692</v>
      </c>
      <c r="H4" s="39">
        <f t="shared" si="0"/>
        <v>365.018999999999</v>
      </c>
      <c r="I4" s="38"/>
    </row>
    <row r="5" ht="18" customHeight="1" spans="1:9">
      <c r="A5" s="38">
        <v>3</v>
      </c>
      <c r="B5" s="38" t="s">
        <v>49</v>
      </c>
      <c r="C5" s="39">
        <v>57.32</v>
      </c>
      <c r="D5" s="39">
        <v>4</v>
      </c>
      <c r="E5" s="38">
        <v>0.67</v>
      </c>
      <c r="F5" s="39">
        <f>(6.85+7)/2</f>
        <v>6.925</v>
      </c>
      <c r="G5" s="39">
        <f>(5.95+5.89+5.59+5.76+5.35)/5</f>
        <v>5.708</v>
      </c>
      <c r="H5" s="40">
        <f t="shared" si="0"/>
        <v>-125.41616</v>
      </c>
      <c r="I5" s="38"/>
    </row>
    <row r="6" ht="31" customHeight="1" spans="1:9">
      <c r="A6" s="38">
        <v>4</v>
      </c>
      <c r="B6" s="41" t="s">
        <v>50</v>
      </c>
      <c r="C6" s="39">
        <v>15.92</v>
      </c>
      <c r="D6" s="39">
        <v>4</v>
      </c>
      <c r="E6" s="38">
        <v>0.67</v>
      </c>
      <c r="F6" s="39">
        <v>7</v>
      </c>
      <c r="G6" s="39">
        <v>5.35</v>
      </c>
      <c r="H6" s="40">
        <f t="shared" si="0"/>
        <v>-62.4064</v>
      </c>
      <c r="I6" s="49" t="s">
        <v>51</v>
      </c>
    </row>
    <row r="7" ht="30" customHeight="1" spans="1:9">
      <c r="A7" s="38">
        <v>5</v>
      </c>
      <c r="B7" s="41" t="s">
        <v>52</v>
      </c>
      <c r="C7" s="39">
        <v>13.5</v>
      </c>
      <c r="D7" s="39">
        <v>4</v>
      </c>
      <c r="E7" s="38">
        <v>0.67</v>
      </c>
      <c r="F7" s="39">
        <v>6.9</v>
      </c>
      <c r="G7" s="39">
        <v>5.89</v>
      </c>
      <c r="H7" s="40">
        <f t="shared" si="0"/>
        <v>-18.36</v>
      </c>
      <c r="I7" s="50"/>
    </row>
    <row r="8" ht="18" customHeight="1" spans="1:9">
      <c r="A8" s="38">
        <v>6</v>
      </c>
      <c r="B8" s="38" t="s">
        <v>53</v>
      </c>
      <c r="C8" s="39">
        <v>334.24</v>
      </c>
      <c r="D8" s="39">
        <v>5</v>
      </c>
      <c r="E8" s="38">
        <v>0.67</v>
      </c>
      <c r="F8" s="39">
        <f>(6.65+6.6+6.65+6.7)/4</f>
        <v>6.65</v>
      </c>
      <c r="G8" s="39">
        <f>(6.52+6.52+6.55+6.53+6.76+6.71+6.94+7.08+7.22+7.25+7.28+7.38+7.13+7.24+6.81+6.6+6.17+6.14+6.27+6.43)/20</f>
        <v>6.7765</v>
      </c>
      <c r="H8" s="39">
        <f t="shared" si="0"/>
        <v>1331.1108</v>
      </c>
      <c r="I8" s="38"/>
    </row>
    <row r="9" ht="29" customHeight="1" spans="1:9">
      <c r="A9" s="38">
        <v>7</v>
      </c>
      <c r="B9" s="41" t="s">
        <v>54</v>
      </c>
      <c r="C9" s="39">
        <v>232.25</v>
      </c>
      <c r="D9" s="38"/>
      <c r="E9" s="38">
        <v>0.67</v>
      </c>
      <c r="F9" s="39">
        <f>(6.65+6.7)/2</f>
        <v>6.675</v>
      </c>
      <c r="G9" s="39">
        <f>(6.52+6.52+6.55+6.53)/4</f>
        <v>6.53</v>
      </c>
      <c r="H9" s="39">
        <f>(G9-F9+E9)*C9</f>
        <v>121.93125</v>
      </c>
      <c r="I9" s="38" t="s">
        <v>55</v>
      </c>
    </row>
    <row r="10" ht="18" customHeight="1" spans="1:9">
      <c r="A10" s="38">
        <v>8</v>
      </c>
      <c r="B10" s="38" t="s">
        <v>56</v>
      </c>
      <c r="C10" s="39">
        <v>105</v>
      </c>
      <c r="D10" s="39">
        <v>4</v>
      </c>
      <c r="E10" s="38">
        <v>0.52</v>
      </c>
      <c r="F10" s="39">
        <f>(6.9+7)/2</f>
        <v>6.95</v>
      </c>
      <c r="G10" s="39">
        <f>(5.46+5.35+5.49+5.27+5.21+5.35)/6</f>
        <v>5.355</v>
      </c>
      <c r="H10" s="40">
        <f t="shared" ref="H10:H15" si="1">(G10-F10+E10)*D10*C10</f>
        <v>-451.5</v>
      </c>
      <c r="I10" s="38"/>
    </row>
    <row r="11" ht="18" customHeight="1" spans="1:9">
      <c r="A11" s="38">
        <v>9</v>
      </c>
      <c r="B11" s="38" t="s">
        <v>57</v>
      </c>
      <c r="C11" s="39">
        <v>87</v>
      </c>
      <c r="D11" s="39">
        <v>4</v>
      </c>
      <c r="E11" s="38">
        <v>0.52</v>
      </c>
      <c r="F11" s="39">
        <f>(7.1+7)/2</f>
        <v>7.05</v>
      </c>
      <c r="G11" s="39">
        <f>(5.35+5.63+5.57+5.76+6.16+6.31+6.6)/7</f>
        <v>5.91142857142857</v>
      </c>
      <c r="H11" s="40">
        <f t="shared" si="1"/>
        <v>-215.262857142857</v>
      </c>
      <c r="I11" s="38"/>
    </row>
    <row r="12" ht="18" customHeight="1" spans="1:9">
      <c r="A12" s="38">
        <v>10</v>
      </c>
      <c r="B12" s="38" t="s">
        <v>58</v>
      </c>
      <c r="C12" s="39">
        <v>99</v>
      </c>
      <c r="D12" s="39">
        <v>4</v>
      </c>
      <c r="E12" s="38">
        <v>0.52</v>
      </c>
      <c r="F12" s="39">
        <v>6.75</v>
      </c>
      <c r="G12" s="39">
        <f>(6.34+6.37+6.34+6.34+6.38+6.44+6.35+6.61)/8</f>
        <v>6.39625</v>
      </c>
      <c r="H12" s="39">
        <f t="shared" si="1"/>
        <v>65.8350000000001</v>
      </c>
      <c r="I12" s="38"/>
    </row>
    <row r="13" ht="18" customHeight="1" spans="1:9">
      <c r="A13" s="38">
        <v>11</v>
      </c>
      <c r="B13" s="38" t="s">
        <v>59</v>
      </c>
      <c r="C13" s="39">
        <v>88.7</v>
      </c>
      <c r="D13" s="39">
        <v>4</v>
      </c>
      <c r="E13" s="38">
        <v>0.52</v>
      </c>
      <c r="F13" s="39">
        <f>(6.85+6.75)/2</f>
        <v>6.8</v>
      </c>
      <c r="G13" s="39">
        <f>(6.61+6.68+6.83+6.78+6.79+6.83+7.01)/7</f>
        <v>6.79</v>
      </c>
      <c r="H13" s="39">
        <f t="shared" si="1"/>
        <v>180.948</v>
      </c>
      <c r="I13" s="38"/>
    </row>
    <row r="14" ht="18" customHeight="1" spans="1:9">
      <c r="A14" s="38">
        <v>12</v>
      </c>
      <c r="B14" s="38" t="s">
        <v>60</v>
      </c>
      <c r="C14" s="39">
        <v>121.99</v>
      </c>
      <c r="D14" s="39">
        <v>4</v>
      </c>
      <c r="E14" s="38">
        <v>0.52</v>
      </c>
      <c r="F14" s="39">
        <f>(6.85+6.9)/2</f>
        <v>6.875</v>
      </c>
      <c r="G14" s="39">
        <f>(6.26+6.54+6.47+6.46+6.46+6.62+6.58+6.6+6.5+6.55+6.71+6.85)/12</f>
        <v>6.55</v>
      </c>
      <c r="H14" s="39">
        <f t="shared" si="1"/>
        <v>95.1521999999991</v>
      </c>
      <c r="I14" s="38"/>
    </row>
    <row r="15" ht="18" customHeight="1" spans="1:9">
      <c r="A15" s="38">
        <v>13</v>
      </c>
      <c r="B15" s="38" t="s">
        <v>61</v>
      </c>
      <c r="C15" s="39">
        <v>93.5</v>
      </c>
      <c r="D15" s="39">
        <v>4</v>
      </c>
      <c r="E15" s="38">
        <v>0.52</v>
      </c>
      <c r="F15" s="39">
        <f>(6.85+6.7+6.65)/3</f>
        <v>6.73333333333333</v>
      </c>
      <c r="G15" s="39">
        <f>(6.85+6.86+6.86+6.93+7.05+7.05+7.09+7.07)/8</f>
        <v>6.97</v>
      </c>
      <c r="H15" s="39">
        <f t="shared" si="1"/>
        <v>282.993333333333</v>
      </c>
      <c r="I15" s="38"/>
    </row>
    <row r="16" ht="18" customHeight="1" spans="1:9">
      <c r="A16" s="38">
        <v>14</v>
      </c>
      <c r="B16" s="38" t="s">
        <v>62</v>
      </c>
      <c r="C16" s="39">
        <v>15.45</v>
      </c>
      <c r="D16" s="39"/>
      <c r="E16" s="38">
        <v>0.67</v>
      </c>
      <c r="F16" s="39">
        <v>6.6</v>
      </c>
      <c r="G16" s="39">
        <f>(7.17+7.25)/2</f>
        <v>7.21</v>
      </c>
      <c r="H16" s="39">
        <f t="shared" ref="H16:H18" si="2">(G16-F16+E16)*C16*2</f>
        <v>39.552</v>
      </c>
      <c r="I16" s="38"/>
    </row>
    <row r="17" ht="18" customHeight="1" spans="1:9">
      <c r="A17" s="38">
        <v>15</v>
      </c>
      <c r="B17" s="38" t="s">
        <v>63</v>
      </c>
      <c r="C17" s="39">
        <v>15.45</v>
      </c>
      <c r="D17" s="39"/>
      <c r="E17" s="38">
        <v>0.52</v>
      </c>
      <c r="F17" s="39">
        <v>7</v>
      </c>
      <c r="G17" s="39">
        <v>5.35</v>
      </c>
      <c r="H17" s="40">
        <f t="shared" si="2"/>
        <v>-34.917</v>
      </c>
      <c r="I17" s="38"/>
    </row>
    <row r="18" ht="18" customHeight="1" spans="1:9">
      <c r="A18" s="38">
        <v>16</v>
      </c>
      <c r="B18" s="38" t="s">
        <v>63</v>
      </c>
      <c r="C18" s="39">
        <v>15.45</v>
      </c>
      <c r="D18" s="39"/>
      <c r="E18" s="38">
        <v>0.52</v>
      </c>
      <c r="F18" s="39">
        <v>6.75</v>
      </c>
      <c r="G18" s="39">
        <v>6.61</v>
      </c>
      <c r="H18" s="39">
        <f t="shared" si="2"/>
        <v>11.742</v>
      </c>
      <c r="I18" s="38"/>
    </row>
    <row r="19" ht="18" customHeight="1" spans="1:9">
      <c r="A19" s="38">
        <v>17</v>
      </c>
      <c r="B19" s="38" t="s">
        <v>64</v>
      </c>
      <c r="C19" s="39">
        <v>15.45</v>
      </c>
      <c r="D19" s="39"/>
      <c r="E19" s="38">
        <v>0.52</v>
      </c>
      <c r="F19" s="39">
        <v>6.65</v>
      </c>
      <c r="G19" s="39">
        <v>7.07</v>
      </c>
      <c r="H19" s="39">
        <f>(G19-F19+E19)*C19*1</f>
        <v>14.523</v>
      </c>
      <c r="I19" s="38"/>
    </row>
    <row r="20" ht="18" customHeight="1" spans="1:9">
      <c r="A20" s="38">
        <v>18</v>
      </c>
      <c r="B20" s="38" t="s">
        <v>65</v>
      </c>
      <c r="C20" s="42">
        <v>7.725</v>
      </c>
      <c r="D20" s="42"/>
      <c r="E20" s="38">
        <v>0.52</v>
      </c>
      <c r="F20" s="39">
        <v>6.85</v>
      </c>
      <c r="G20" s="39">
        <v>6.85</v>
      </c>
      <c r="H20" s="39">
        <f>(G20-F20+E20)*C20*1</f>
        <v>4.017</v>
      </c>
      <c r="I20" s="38"/>
    </row>
    <row r="21" ht="18" customHeight="1" spans="1:9">
      <c r="A21" s="38">
        <v>19</v>
      </c>
      <c r="B21" s="43" t="s">
        <v>66</v>
      </c>
      <c r="C21" s="44"/>
      <c r="D21" s="45"/>
      <c r="E21" s="45"/>
      <c r="F21" s="45"/>
      <c r="G21" s="46"/>
      <c r="H21" s="47">
        <f>H3+H4+H8+H9+H12+H13+H14+H15+H16+H18+H19+H20</f>
        <v>2676.47691666667</v>
      </c>
      <c r="I21" s="38"/>
    </row>
    <row r="22" ht="18" customHeight="1" spans="1:9">
      <c r="A22" s="38">
        <v>20</v>
      </c>
      <c r="B22" s="43" t="s">
        <v>67</v>
      </c>
      <c r="C22" s="44"/>
      <c r="D22" s="45"/>
      <c r="E22" s="45"/>
      <c r="F22" s="45"/>
      <c r="G22" s="46"/>
      <c r="H22" s="48">
        <f>H5+H6+H7+H10+H11+H17</f>
        <v>-907.862417142857</v>
      </c>
      <c r="I22" s="38"/>
    </row>
  </sheetData>
  <mergeCells count="10">
    <mergeCell ref="A1:I1"/>
    <mergeCell ref="C9:D9"/>
    <mergeCell ref="C16:D16"/>
    <mergeCell ref="C17:D17"/>
    <mergeCell ref="C18:D18"/>
    <mergeCell ref="C19:D19"/>
    <mergeCell ref="C20:D20"/>
    <mergeCell ref="C21:G21"/>
    <mergeCell ref="C22:G22"/>
    <mergeCell ref="I6:I7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workbookViewId="0">
      <selection activeCell="I9" sqref="I9"/>
    </sheetView>
  </sheetViews>
  <sheetFormatPr defaultColWidth="10.28125" defaultRowHeight="13.8"/>
  <cols>
    <col min="1" max="2" width="10.28125" style="2"/>
    <col min="3" max="3" width="24" style="26" customWidth="1"/>
    <col min="4" max="4" width="23.28125" style="2" customWidth="1"/>
    <col min="5" max="5" width="17.28125" style="26" customWidth="1"/>
    <col min="6" max="6" width="20.4270833333333" style="26" customWidth="1"/>
    <col min="7" max="9" width="18" style="1" customWidth="1"/>
    <col min="10" max="10" width="19.28125" style="1" customWidth="1"/>
    <col min="11" max="11" width="11.8541666666667" style="1"/>
    <col min="12" max="16384" width="10.28125" style="1"/>
  </cols>
  <sheetData>
    <row r="1" ht="24" customHeight="1" spans="1:6">
      <c r="A1" s="6" t="s">
        <v>68</v>
      </c>
      <c r="B1" s="6"/>
      <c r="C1" s="7"/>
      <c r="D1" s="6"/>
      <c r="E1" s="7"/>
      <c r="F1" s="6"/>
    </row>
    <row r="2" ht="33" customHeight="1" spans="1:11">
      <c r="A2" s="8" t="s">
        <v>2</v>
      </c>
      <c r="B2" s="8" t="s">
        <v>69</v>
      </c>
      <c r="C2" s="10" t="s">
        <v>70</v>
      </c>
      <c r="D2" s="8" t="s">
        <v>71</v>
      </c>
      <c r="E2" s="10" t="s">
        <v>72</v>
      </c>
      <c r="F2" s="27" t="s">
        <v>73</v>
      </c>
      <c r="G2" s="28" t="s">
        <v>74</v>
      </c>
      <c r="H2" s="29" t="s">
        <v>75</v>
      </c>
      <c r="I2" s="29" t="s">
        <v>76</v>
      </c>
      <c r="J2" s="34" t="s">
        <v>77</v>
      </c>
      <c r="K2" s="35" t="s">
        <v>78</v>
      </c>
    </row>
    <row r="3" ht="25" customHeight="1" spans="1:11">
      <c r="A3" s="3">
        <v>1</v>
      </c>
      <c r="B3" s="3" t="s">
        <v>79</v>
      </c>
      <c r="C3" s="13">
        <v>7.1</v>
      </c>
      <c r="D3" s="3">
        <v>5.69</v>
      </c>
      <c r="E3" s="13">
        <v>2602.6</v>
      </c>
      <c r="F3" s="30">
        <f t="shared" ref="F3:F8" si="0">(D3-C3+0.34)*E3</f>
        <v>-2784.782</v>
      </c>
      <c r="G3" s="31">
        <v>1160.68</v>
      </c>
      <c r="H3" s="31">
        <f>69.92+23.94+26.78+607.91+31.98+35.3*1.9*2+6.615*3.3</f>
        <v>916.4995</v>
      </c>
      <c r="I3" s="31"/>
      <c r="J3" s="36">
        <f t="shared" ref="J3:J8" si="1">F3+H3</f>
        <v>-1868.2825</v>
      </c>
      <c r="K3" s="31">
        <v>13131.47</v>
      </c>
    </row>
    <row r="4" ht="25" customHeight="1" spans="1:11">
      <c r="A4" s="3">
        <v>2</v>
      </c>
      <c r="B4" s="3" t="s">
        <v>80</v>
      </c>
      <c r="C4" s="13">
        <v>7.2</v>
      </c>
      <c r="D4" s="3">
        <v>6.1</v>
      </c>
      <c r="E4" s="13">
        <v>2125.6</v>
      </c>
      <c r="F4" s="30">
        <f t="shared" si="0"/>
        <v>-1615.456</v>
      </c>
      <c r="G4" s="31">
        <f>1502.25*K4/K3</f>
        <v>1232.78933242051</v>
      </c>
      <c r="H4" s="31">
        <f>H3*K4/K3</f>
        <v>752.105712610241</v>
      </c>
      <c r="I4" s="31"/>
      <c r="J4" s="36">
        <f t="shared" si="1"/>
        <v>-863.35028738976</v>
      </c>
      <c r="K4" s="31">
        <v>10776.06</v>
      </c>
    </row>
    <row r="5" ht="25" customHeight="1" spans="1:11">
      <c r="A5" s="3">
        <v>3</v>
      </c>
      <c r="B5" s="3" t="s">
        <v>81</v>
      </c>
      <c r="C5" s="13">
        <v>6.95</v>
      </c>
      <c r="D5" s="3">
        <v>6.12</v>
      </c>
      <c r="E5" s="13">
        <v>2602.6</v>
      </c>
      <c r="F5" s="30">
        <f t="shared" si="0"/>
        <v>-1275.274</v>
      </c>
      <c r="G5" s="31">
        <f>1822.01*K5/K3</f>
        <v>1823.89701919892</v>
      </c>
      <c r="H5" s="31">
        <f>H3*K5/K3</f>
        <v>917.448700142863</v>
      </c>
      <c r="I5" s="31"/>
      <c r="J5" s="36">
        <f t="shared" si="1"/>
        <v>-357.825299857137</v>
      </c>
      <c r="K5" s="31">
        <v>13145.07</v>
      </c>
    </row>
    <row r="6" ht="25" customHeight="1" spans="1:11">
      <c r="A6" s="3">
        <v>4</v>
      </c>
      <c r="B6" s="3" t="s">
        <v>82</v>
      </c>
      <c r="C6" s="13">
        <v>6.95</v>
      </c>
      <c r="D6" s="3">
        <v>6.67</v>
      </c>
      <c r="E6" s="13">
        <v>2125.6</v>
      </c>
      <c r="F6" s="30">
        <f t="shared" si="0"/>
        <v>127.536</v>
      </c>
      <c r="G6" s="31">
        <f>2540.49*K6/K3</f>
        <v>2131.96380348126</v>
      </c>
      <c r="H6" s="31">
        <f>H3*K6/K3</f>
        <v>769.12082311234</v>
      </c>
      <c r="I6" s="31"/>
      <c r="J6" s="36">
        <f t="shared" si="1"/>
        <v>896.65682311234</v>
      </c>
      <c r="K6" s="31">
        <v>11019.85</v>
      </c>
    </row>
    <row r="7" ht="25" customHeight="1" spans="1:11">
      <c r="A7" s="3">
        <v>5</v>
      </c>
      <c r="B7" s="3" t="s">
        <v>83</v>
      </c>
      <c r="C7" s="13">
        <v>6.95</v>
      </c>
      <c r="D7" s="3">
        <v>6.54</v>
      </c>
      <c r="E7" s="13">
        <v>2602.6</v>
      </c>
      <c r="F7" s="30">
        <f t="shared" si="0"/>
        <v>-182.182</v>
      </c>
      <c r="G7" s="31">
        <f>2362.32*K7/K3</f>
        <v>2367.73851585542</v>
      </c>
      <c r="H7" s="31">
        <f>H3*K7/K3</f>
        <v>918.601699139929</v>
      </c>
      <c r="I7" s="31"/>
      <c r="J7" s="36">
        <f t="shared" si="1"/>
        <v>736.419699139929</v>
      </c>
      <c r="K7" s="31">
        <v>13161.59</v>
      </c>
    </row>
    <row r="8" ht="25" customHeight="1" spans="1:11">
      <c r="A8" s="3">
        <v>6</v>
      </c>
      <c r="B8" s="3" t="s">
        <v>84</v>
      </c>
      <c r="C8" s="13">
        <v>6.8</v>
      </c>
      <c r="D8" s="3">
        <v>6.48</v>
      </c>
      <c r="E8" s="13">
        <v>2602.6</v>
      </c>
      <c r="F8" s="30">
        <f t="shared" si="0"/>
        <v>52.0520000000016</v>
      </c>
      <c r="G8" s="31">
        <f>2485.1*K8/K3</f>
        <v>2527.47633654115</v>
      </c>
      <c r="H8" s="31">
        <f>H3*K8/K3</f>
        <v>932.127801175725</v>
      </c>
      <c r="I8" s="31"/>
      <c r="J8" s="36">
        <f t="shared" si="1"/>
        <v>984.179801175727</v>
      </c>
      <c r="K8" s="31">
        <v>13355.39</v>
      </c>
    </row>
    <row r="9" ht="36" customHeight="1" spans="1:11">
      <c r="A9" s="24" t="s">
        <v>35</v>
      </c>
      <c r="B9" s="24"/>
      <c r="C9" s="24"/>
      <c r="D9" s="24"/>
      <c r="E9" s="24"/>
      <c r="F9" s="24">
        <f t="shared" ref="F9:H9" si="2">SUM(F3:F8)</f>
        <v>-5678.106</v>
      </c>
      <c r="G9" s="32">
        <f t="shared" si="2"/>
        <v>11244.5450074973</v>
      </c>
      <c r="H9" s="33">
        <f t="shared" si="2"/>
        <v>5205.9042361811</v>
      </c>
      <c r="I9" s="32">
        <f>G9-F9-H9</f>
        <v>11716.7467713162</v>
      </c>
      <c r="J9" s="33">
        <f>SUM(J3:J8)</f>
        <v>-472.2017638189</v>
      </c>
      <c r="K9" s="33"/>
    </row>
    <row r="10" ht="33" customHeight="1" spans="6:6">
      <c r="F10" s="26" t="s">
        <v>73</v>
      </c>
    </row>
  </sheetData>
  <mergeCells count="1">
    <mergeCell ref="A1:F1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4"/>
  <sheetViews>
    <sheetView workbookViewId="0">
      <selection activeCell="G15" sqref="G15"/>
    </sheetView>
  </sheetViews>
  <sheetFormatPr defaultColWidth="10.28125" defaultRowHeight="13.8"/>
  <cols>
    <col min="1" max="1" width="6.71875" style="1" customWidth="1"/>
    <col min="2" max="2" width="15.1458333333333" style="1" customWidth="1"/>
    <col min="3" max="3" width="11.8541666666667" style="1" customWidth="1"/>
    <col min="4" max="4" width="13" style="1" customWidth="1"/>
    <col min="5" max="5" width="15.1458333333333" style="1" customWidth="1"/>
    <col min="6" max="6" width="12.28125" style="1" customWidth="1"/>
    <col min="7" max="7" width="12.5729166666667" style="5" customWidth="1"/>
    <col min="8" max="8" width="13.28125" style="5" customWidth="1"/>
    <col min="9" max="9" width="11.28125" style="5" customWidth="1"/>
    <col min="10" max="10" width="12.28125" style="5" customWidth="1"/>
    <col min="11" max="11" width="10.8541666666667" style="5" customWidth="1"/>
    <col min="12" max="12" width="10.28125" style="5" customWidth="1"/>
    <col min="13" max="13" width="17" style="1" customWidth="1"/>
    <col min="14" max="16384" width="10.28125" style="1"/>
  </cols>
  <sheetData>
    <row r="1" ht="27" customHeight="1" spans="1:13">
      <c r="A1" s="6" t="s">
        <v>85</v>
      </c>
      <c r="B1" s="6"/>
      <c r="C1" s="6"/>
      <c r="D1" s="6"/>
      <c r="E1" s="6"/>
      <c r="F1" s="6"/>
      <c r="G1" s="7"/>
      <c r="H1" s="7"/>
      <c r="I1" s="7"/>
      <c r="J1" s="7"/>
      <c r="K1" s="7"/>
      <c r="L1" s="7"/>
      <c r="M1" s="6"/>
    </row>
    <row r="2" ht="43" customHeight="1" spans="1:13">
      <c r="A2" s="8" t="s">
        <v>2</v>
      </c>
      <c r="B2" s="8" t="s">
        <v>86</v>
      </c>
      <c r="C2" s="8" t="s">
        <v>87</v>
      </c>
      <c r="D2" s="8" t="s">
        <v>88</v>
      </c>
      <c r="E2" s="8" t="s">
        <v>72</v>
      </c>
      <c r="F2" s="9" t="s">
        <v>89</v>
      </c>
      <c r="G2" s="10" t="s">
        <v>90</v>
      </c>
      <c r="H2" s="11" t="s">
        <v>91</v>
      </c>
      <c r="I2" s="11" t="s">
        <v>92</v>
      </c>
      <c r="J2" s="11" t="s">
        <v>93</v>
      </c>
      <c r="K2" s="11" t="s">
        <v>94</v>
      </c>
      <c r="L2" s="11" t="s">
        <v>95</v>
      </c>
      <c r="M2" s="9" t="s">
        <v>9</v>
      </c>
    </row>
    <row r="3" ht="20" customHeight="1" spans="1:13">
      <c r="A3" s="3">
        <v>1</v>
      </c>
      <c r="B3" s="12" t="s">
        <v>96</v>
      </c>
      <c r="C3" s="3" t="s">
        <v>97</v>
      </c>
      <c r="D3" s="3">
        <v>1</v>
      </c>
      <c r="E3" s="3">
        <v>194.25</v>
      </c>
      <c r="F3" s="3">
        <v>0</v>
      </c>
      <c r="G3" s="13">
        <v>0</v>
      </c>
      <c r="H3" s="14">
        <v>0</v>
      </c>
      <c r="I3" s="14">
        <v>0</v>
      </c>
      <c r="J3" s="21" t="s">
        <v>98</v>
      </c>
      <c r="K3" s="13"/>
      <c r="L3" s="13"/>
      <c r="M3" s="3" t="s">
        <v>99</v>
      </c>
    </row>
    <row r="4" ht="20" customHeight="1" spans="1:13">
      <c r="A4" s="3"/>
      <c r="B4" s="15"/>
      <c r="C4" s="3"/>
      <c r="D4" s="3">
        <v>2</v>
      </c>
      <c r="E4" s="3">
        <v>3.87</v>
      </c>
      <c r="F4" s="3">
        <v>0</v>
      </c>
      <c r="G4" s="13">
        <v>0</v>
      </c>
      <c r="H4" s="16">
        <v>0</v>
      </c>
      <c r="I4" s="16">
        <v>0</v>
      </c>
      <c r="J4" s="22"/>
      <c r="K4" s="13"/>
      <c r="L4" s="13"/>
      <c r="M4" s="3"/>
    </row>
    <row r="5" ht="20" customHeight="1" spans="1:13">
      <c r="A5" s="3"/>
      <c r="B5" s="15"/>
      <c r="C5" s="3"/>
      <c r="D5" s="3">
        <v>3</v>
      </c>
      <c r="E5" s="3">
        <v>9.68</v>
      </c>
      <c r="F5" s="3">
        <v>0</v>
      </c>
      <c r="G5" s="13">
        <v>0</v>
      </c>
      <c r="H5" s="16">
        <v>0</v>
      </c>
      <c r="I5" s="16">
        <v>0</v>
      </c>
      <c r="J5" s="22"/>
      <c r="K5" s="13"/>
      <c r="L5" s="13"/>
      <c r="M5" s="3"/>
    </row>
    <row r="6" ht="20" customHeight="1" spans="1:13">
      <c r="A6" s="3">
        <v>2</v>
      </c>
      <c r="B6" s="15"/>
      <c r="C6" s="3" t="s">
        <v>100</v>
      </c>
      <c r="D6" s="3">
        <v>1</v>
      </c>
      <c r="E6" s="3">
        <v>204.99</v>
      </c>
      <c r="F6" s="3">
        <v>0.75</v>
      </c>
      <c r="G6" s="13">
        <f t="shared" ref="G6:G14" si="0">E6*F6</f>
        <v>153.7425</v>
      </c>
      <c r="H6" s="16">
        <f t="shared" ref="H6:H12" si="1">I6+F6</f>
        <v>3.29</v>
      </c>
      <c r="I6" s="16">
        <v>2.54</v>
      </c>
      <c r="J6" s="22"/>
      <c r="K6" s="13"/>
      <c r="L6" s="13"/>
      <c r="M6" s="3"/>
    </row>
    <row r="7" ht="20" customHeight="1" spans="1:13">
      <c r="A7" s="3"/>
      <c r="B7" s="15"/>
      <c r="C7" s="3" t="s">
        <v>101</v>
      </c>
      <c r="D7" s="3">
        <v>1</v>
      </c>
      <c r="E7" s="3">
        <v>1.29</v>
      </c>
      <c r="F7" s="3">
        <v>0</v>
      </c>
      <c r="G7" s="13">
        <v>0</v>
      </c>
      <c r="H7" s="16">
        <v>0</v>
      </c>
      <c r="I7" s="16">
        <v>0</v>
      </c>
      <c r="J7" s="22"/>
      <c r="K7" s="13"/>
      <c r="L7" s="13"/>
      <c r="M7" s="23" t="s">
        <v>99</v>
      </c>
    </row>
    <row r="8" ht="20" customHeight="1" spans="1:13">
      <c r="A8" s="3">
        <v>3</v>
      </c>
      <c r="B8" s="15"/>
      <c r="C8" s="3" t="s">
        <v>102</v>
      </c>
      <c r="D8" s="3">
        <v>1</v>
      </c>
      <c r="E8" s="3">
        <v>7.15</v>
      </c>
      <c r="F8" s="3">
        <v>0</v>
      </c>
      <c r="G8" s="13">
        <f t="shared" si="0"/>
        <v>0</v>
      </c>
      <c r="H8" s="16">
        <v>0</v>
      </c>
      <c r="I8" s="16">
        <v>0</v>
      </c>
      <c r="J8" s="22"/>
      <c r="K8" s="13"/>
      <c r="L8" s="13"/>
      <c r="M8" s="23" t="s">
        <v>99</v>
      </c>
    </row>
    <row r="9" ht="20" customHeight="1" spans="1:13">
      <c r="A9" s="3">
        <v>4</v>
      </c>
      <c r="B9" s="15"/>
      <c r="C9" s="3" t="s">
        <v>103</v>
      </c>
      <c r="D9" s="3">
        <v>1</v>
      </c>
      <c r="E9" s="3">
        <v>5.32</v>
      </c>
      <c r="F9" s="3">
        <v>1.2</v>
      </c>
      <c r="G9" s="13">
        <f t="shared" si="0"/>
        <v>6.384</v>
      </c>
      <c r="H9" s="16">
        <f t="shared" si="1"/>
        <v>3.94</v>
      </c>
      <c r="I9" s="16">
        <v>2.74</v>
      </c>
      <c r="J9" s="22"/>
      <c r="K9" s="13"/>
      <c r="L9" s="13"/>
      <c r="M9" s="23"/>
    </row>
    <row r="10" ht="20" customHeight="1" spans="1:13">
      <c r="A10" s="3">
        <v>5</v>
      </c>
      <c r="B10" s="15"/>
      <c r="C10" s="3" t="s">
        <v>104</v>
      </c>
      <c r="D10" s="3">
        <v>1</v>
      </c>
      <c r="E10" s="3">
        <v>14.81</v>
      </c>
      <c r="F10" s="3">
        <v>0.85</v>
      </c>
      <c r="G10" s="13">
        <f t="shared" si="0"/>
        <v>12.5885</v>
      </c>
      <c r="H10" s="16">
        <f t="shared" si="1"/>
        <v>3.36</v>
      </c>
      <c r="I10" s="16">
        <v>2.51</v>
      </c>
      <c r="J10" s="22"/>
      <c r="K10" s="13"/>
      <c r="L10" s="13"/>
      <c r="M10" s="23"/>
    </row>
    <row r="11" ht="20" customHeight="1" spans="1:13">
      <c r="A11" s="3"/>
      <c r="B11" s="15"/>
      <c r="C11" s="3"/>
      <c r="D11" s="3">
        <v>2</v>
      </c>
      <c r="E11" s="3">
        <v>15.99</v>
      </c>
      <c r="F11" s="3">
        <v>0.85</v>
      </c>
      <c r="G11" s="13">
        <f t="shared" si="0"/>
        <v>13.5915</v>
      </c>
      <c r="H11" s="16">
        <f t="shared" si="1"/>
        <v>3.48</v>
      </c>
      <c r="I11" s="16">
        <v>2.63</v>
      </c>
      <c r="J11" s="22"/>
      <c r="K11" s="13"/>
      <c r="L11" s="13"/>
      <c r="M11" s="23"/>
    </row>
    <row r="12" ht="20" customHeight="1" spans="1:13">
      <c r="A12" s="3"/>
      <c r="B12" s="17"/>
      <c r="C12" s="3"/>
      <c r="D12" s="3">
        <v>3</v>
      </c>
      <c r="E12" s="3">
        <v>87.21</v>
      </c>
      <c r="F12" s="3">
        <v>0.85</v>
      </c>
      <c r="G12" s="13">
        <f t="shared" si="0"/>
        <v>74.1285</v>
      </c>
      <c r="H12" s="16">
        <f t="shared" si="1"/>
        <v>3.55</v>
      </c>
      <c r="I12" s="24">
        <v>2.7</v>
      </c>
      <c r="J12" s="18"/>
      <c r="K12" s="13"/>
      <c r="L12" s="13"/>
      <c r="M12" s="23"/>
    </row>
    <row r="13" ht="27" customHeight="1" spans="1:13">
      <c r="A13" s="3">
        <v>6</v>
      </c>
      <c r="B13" s="17" t="s">
        <v>105</v>
      </c>
      <c r="C13" s="3" t="s">
        <v>106</v>
      </c>
      <c r="D13" s="3">
        <v>0</v>
      </c>
      <c r="E13" s="3">
        <v>0</v>
      </c>
      <c r="F13" s="3">
        <v>0</v>
      </c>
      <c r="G13" s="13">
        <f t="shared" si="0"/>
        <v>0</v>
      </c>
      <c r="H13" s="13">
        <v>0</v>
      </c>
      <c r="I13" s="13">
        <v>0</v>
      </c>
      <c r="J13" s="25" t="s">
        <v>107</v>
      </c>
      <c r="K13" s="13">
        <v>0</v>
      </c>
      <c r="L13" s="13">
        <v>0</v>
      </c>
      <c r="M13" s="23" t="s">
        <v>108</v>
      </c>
    </row>
    <row r="14" ht="38" customHeight="1" spans="1:13">
      <c r="A14" s="3">
        <v>7</v>
      </c>
      <c r="B14" s="18" t="s">
        <v>109</v>
      </c>
      <c r="C14" s="3" t="s">
        <v>110</v>
      </c>
      <c r="D14" s="3">
        <v>1</v>
      </c>
      <c r="E14" s="3">
        <v>167.53</v>
      </c>
      <c r="F14" s="3">
        <v>1.15</v>
      </c>
      <c r="G14" s="13">
        <f t="shared" si="0"/>
        <v>192.6595</v>
      </c>
      <c r="H14" s="13">
        <f>I14+F14</f>
        <v>4.41</v>
      </c>
      <c r="I14" s="13">
        <v>3.26</v>
      </c>
      <c r="J14" s="25" t="s">
        <v>111</v>
      </c>
      <c r="K14" s="13">
        <f>G14</f>
        <v>192.6595</v>
      </c>
      <c r="L14" s="13">
        <v>0</v>
      </c>
      <c r="M14" s="23"/>
    </row>
    <row r="15" ht="25" customHeight="1" spans="1:13">
      <c r="A15" s="8" t="s">
        <v>112</v>
      </c>
      <c r="B15" s="8"/>
      <c r="C15" s="8"/>
      <c r="D15" s="8"/>
      <c r="E15" s="8"/>
      <c r="F15" s="8"/>
      <c r="G15" s="10">
        <f>SUM(G3:G14)</f>
        <v>453.0945</v>
      </c>
      <c r="H15" s="10"/>
      <c r="I15" s="10"/>
      <c r="J15" s="10"/>
      <c r="K15" s="13">
        <f>SUM(K13:K14)</f>
        <v>192.6595</v>
      </c>
      <c r="L15" s="10"/>
      <c r="M15" s="23"/>
    </row>
    <row r="16" spans="1:13">
      <c r="A16" s="19" t="s">
        <v>113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</row>
    <row r="17" spans="1:13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</row>
    <row r="18" spans="1:13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</row>
    <row r="19" spans="1:13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</row>
    <row r="20" spans="1:13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</row>
    <row r="21" spans="1:13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</row>
    <row r="22" spans="1:1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</row>
    <row r="23" spans="1:1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</row>
    <row r="24" spans="1:13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</sheetData>
  <mergeCells count="10">
    <mergeCell ref="A1:M1"/>
    <mergeCell ref="A15:F15"/>
    <mergeCell ref="A3:A5"/>
    <mergeCell ref="A10:A12"/>
    <mergeCell ref="B3:B12"/>
    <mergeCell ref="C3:C5"/>
    <mergeCell ref="C10:C12"/>
    <mergeCell ref="J3:J12"/>
    <mergeCell ref="M3:M5"/>
    <mergeCell ref="A16:M24"/>
  </mergeCells>
  <pageMargins left="0.393055555555556" right="0.393055555555556" top="0.751388888888889" bottom="0.751388888888889" header="0.298611111111111" footer="0.298611111111111"/>
  <pageSetup paperSize="9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"/>
  <sheetViews>
    <sheetView workbookViewId="0">
      <selection activeCell="C5" sqref="C5"/>
    </sheetView>
  </sheetViews>
  <sheetFormatPr defaultColWidth="10.28125" defaultRowHeight="13.8" outlineLevelRow="5" outlineLevelCol="2"/>
  <cols>
    <col min="1" max="1" width="11.8541666666667" style="1" customWidth="1"/>
    <col min="2" max="2" width="11.71875" style="1" customWidth="1"/>
    <col min="3" max="3" width="12.71875" style="1" customWidth="1"/>
    <col min="4" max="16384" width="10.28125" style="1"/>
  </cols>
  <sheetData>
    <row r="1" ht="27" customHeight="1" spans="1:3">
      <c r="A1" s="2" t="s">
        <v>114</v>
      </c>
      <c r="B1" s="2"/>
      <c r="C1" s="2"/>
    </row>
    <row r="2" ht="25" customHeight="1" spans="1:3">
      <c r="A2" s="3" t="s">
        <v>34</v>
      </c>
      <c r="B2" s="3" t="s">
        <v>115</v>
      </c>
      <c r="C2" s="3" t="s">
        <v>116</v>
      </c>
    </row>
    <row r="3" ht="25" customHeight="1" spans="1:3">
      <c r="A3" s="3"/>
      <c r="B3" s="3">
        <f>669.7*6.5</f>
        <v>4353.05</v>
      </c>
      <c r="C3" s="3">
        <f>B3*3.8</f>
        <v>16541.59</v>
      </c>
    </row>
    <row r="4" ht="25" customHeight="1" spans="1:3">
      <c r="A4" s="4" t="s">
        <v>117</v>
      </c>
      <c r="B4" s="3" t="s">
        <v>115</v>
      </c>
      <c r="C4" s="3"/>
    </row>
    <row r="5" ht="25" customHeight="1" spans="1:3">
      <c r="A5" s="3"/>
      <c r="B5" s="3">
        <f>769.42+593.54</f>
        <v>1362.96</v>
      </c>
      <c r="C5" s="3">
        <f>B5*5</f>
        <v>6814.8</v>
      </c>
    </row>
    <row r="6" spans="3:3">
      <c r="C6" s="1">
        <f>SUM(C3:C5)</f>
        <v>23356.39</v>
      </c>
    </row>
  </sheetData>
  <mergeCells count="1">
    <mergeCell ref="A1:C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土方清单2024.8.15</vt:lpstr>
      <vt:lpstr>厂区土方汇总表</vt:lpstr>
      <vt:lpstr>临时道路区域土方挖（填）方情况</vt:lpstr>
      <vt:lpstr>各楼栋土方挖（填）情况</vt:lpstr>
      <vt:lpstr>管廊区域淤泥质土分布情况表</vt:lpstr>
      <vt:lpstr>管廊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招采中心2</cp:lastModifiedBy>
  <dcterms:created xsi:type="dcterms:W3CDTF">2021-06-17T13:48:00Z</dcterms:created>
  <dcterms:modified xsi:type="dcterms:W3CDTF">2024-08-16T14:18:05Z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4B48867EB9BC46588F7829860F6C1AA1_13</vt:lpwstr>
  </property>
  <property fmtid="{D5CDD505-2E9C-101B-9397-08002B2CF9AE}" pid="3" name="KSOProductBuildVer">
    <vt:lpwstr>2052-12.1.0.17813</vt:lpwstr>
  </property>
</Properties>
</file>